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<sst xmlns="http://schemas.openxmlformats.org/spreadsheetml/2006/main" count="128" uniqueCount="123">
  <si>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</si>
  <si>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</si>
  <si>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</si>
  <si>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</si>
  <si>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</si>
  <si>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</si>
  <si>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</si>
  <si>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</si>
  <si>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</si>
  <si>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</si>
  <si>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</si>
  <si>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</si>
  <si>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</si>
  <si>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</si>
  <si>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</si>
  <si>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</si>
  <si>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</si>
  <si>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</si>
  <si>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</si>
  <si>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</si>
  <si>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</si>
  <si>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</si>
  <si>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</si>
  <si>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</si>
  <si>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</si>
  <si>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</si>
  <si>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</si>
  <si>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</si>
  <si>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</si>
  <si>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</si>
  <si>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</si>
  <si>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</si>
  <si>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</si>
  <si>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</si>
  <si>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</si>
  <si>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</si>
  <si>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</si>
  <si>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</si>
  <si>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</si>
  <si>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</si>
  <si>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</si>
  <si>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</si>
  <si>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</si>
  <si>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</si>
  <si>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</si>
  <si>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</si>
  <si>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</si>
  <si>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</si>
  <si>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</si>
  <si>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</si>
  <si>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</si>
  <si>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</si>
  <si>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</si>
  <si>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</si>
  <si>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</si>
  <si>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</si>
  <si>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</si>
  <si>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</si>
  <si>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</si>
  <si>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</si>
  <si>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</si>
  <si>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</si>
  <si>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</si>
  <si>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</si>
  <si>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</si>
  <si>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</si>
  <si>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</si>
  <si>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</si>
  <si>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</si>
  <si>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</si>
  <si>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</si>
  <si>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</si>
  <si>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</si>
  <si>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</si>
  <si>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</si>
  <si>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</si>
  <si>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</si>
  <si>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</si>
  <si>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</si>
  <si>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</si>
  <si>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</si>
  <si>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</si>
  <si>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</si>
  <si>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</si>
  <si>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</si>
  <si>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</si>
  <si>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</si>
  <si>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</si>
  <si>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</si>
  <si>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</si>
  <si>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</si>
  <si>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</si>
  <si>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</si>
  <si>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</si>
  <si>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</si>
  <si>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</si>
  <si>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</si>
  <si>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</si>
  <si>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</si>
  <si>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</si>
  <si>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</si>
  <si>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</si>
  <si>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</si>
  <si>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</si>
  <si>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</si>
  <si>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</si>
  <si>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</si>
  <si>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</si>
  <si>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</si>
  <si>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</si>
  <si>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</si>
  <si>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</si>
  <si>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</si>
  <si>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</si>
  <si>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</si>
  <si>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</si>
  <si>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</si>
  <si>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</si>
  <si>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</si>
  <si>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Відсоток виконання до плану 6 місяців</t>
  </si>
  <si>
    <t>Залишок призначень до плану 6 місяців</t>
  </si>
  <si>
    <t>Реконструкція вул. Хрещатик (від вул. Пушкіна до вул. Грушевського) в м. Черкаси</t>
  </si>
  <si>
    <t>Касові видатки станом на 27.06.18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</si>
</sst>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0" fillId="47" borderId="8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" fillId="3" borderId="0" applyNumberFormat="0" applyBorder="0" applyAlignment="0" applyProtection="0"/>
    <xf numFmtId="0" fontId="6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3" fillId="47" borderId="12" applyNumberFormat="0" applyAlignment="0" applyProtection="0"/>
    <xf numFmtId="0" fontId="19" fillId="0" borderId="13" applyNumberFormat="0" applyFill="0" applyAlignment="0" applyProtection="0"/>
    <xf numFmtId="0" fontId="64" fillId="51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2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8" fillId="0" borderId="14" xfId="112" applyNumberFormat="1" applyFont="1" applyFill="1" applyBorder="1" applyAlignment="1">
      <alignment horizontal="center" vertical="center" wrapText="1"/>
      <protection/>
    </xf>
    <xf numFmtId="0" fontId="38" fillId="0" borderId="14" xfId="112" applyFont="1" applyBorder="1">
      <alignment/>
      <protection/>
    </xf>
    <xf numFmtId="0" fontId="38" fillId="0" borderId="14" xfId="0" applyFont="1" applyFill="1" applyBorder="1" applyAlignment="1">
      <alignment vertical="top" wrapText="1"/>
    </xf>
    <xf numFmtId="4" fontId="38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4" fontId="39" fillId="0" borderId="14" xfId="107" applyNumberFormat="1" applyFont="1" applyFill="1" applyBorder="1" applyAlignment="1">
      <alignment horizontal="center"/>
      <protection/>
    </xf>
    <xf numFmtId="4" fontId="40" fillId="0" borderId="14" xfId="107" applyNumberFormat="1" applyFont="1" applyFill="1" applyBorder="1" applyAlignment="1">
      <alignment horizontal="center"/>
      <protection/>
    </xf>
    <xf numFmtId="0" fontId="32" fillId="53" borderId="0" xfId="112" applyFont="1" applyFill="1" applyBorder="1" applyAlignment="1">
      <alignment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41" fillId="0" borderId="14" xfId="0" applyNumberFormat="1" applyFont="1" applyFill="1" applyBorder="1" applyAlignment="1">
      <alignment horizontal="right"/>
    </xf>
    <xf numFmtId="4" fontId="0" fillId="0" borderId="14" xfId="112" applyNumberFormat="1" applyFont="1" applyBorder="1">
      <alignment/>
      <protection/>
    </xf>
    <xf numFmtId="4" fontId="42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194" fontId="33" fillId="53" borderId="14" xfId="0" applyNumberFormat="1" applyFont="1" applyFill="1" applyBorder="1" applyAlignment="1">
      <alignment horizontal="left" vertical="center" wrapText="1"/>
    </xf>
    <xf numFmtId="0" fontId="34" fillId="53" borderId="14" xfId="113" applyFont="1" applyFill="1" applyBorder="1" applyAlignment="1">
      <alignment vertical="top" wrapText="1"/>
      <protection/>
    </xf>
    <xf numFmtId="194" fontId="33" fillId="53" borderId="14" xfId="113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34" fillId="53" borderId="14" xfId="94" applyNumberFormat="1" applyFont="1" applyFill="1" applyBorder="1" applyAlignment="1">
      <alignment horizontal="center" vertical="center"/>
      <protection/>
    </xf>
    <xf numFmtId="0" fontId="28" fillId="0" borderId="14" xfId="112" applyFont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/>
    </xf>
    <xf numFmtId="0" fontId="44" fillId="0" borderId="14" xfId="112" applyFont="1" applyBorder="1">
      <alignment/>
      <protection/>
    </xf>
    <xf numFmtId="194" fontId="45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194" fontId="30" fillId="0" borderId="14" xfId="0" applyNumberFormat="1" applyFont="1" applyFill="1" applyBorder="1" applyAlignment="1">
      <alignment horizontal="right" wrapText="1"/>
    </xf>
    <xf numFmtId="194" fontId="45" fillId="0" borderId="14" xfId="113" applyNumberFormat="1" applyFont="1" applyFill="1" applyBorder="1" applyAlignment="1">
      <alignment horizontal="right" wrapText="1"/>
      <protection/>
    </xf>
    <xf numFmtId="194" fontId="46" fillId="0" borderId="14" xfId="0" applyNumberFormat="1" applyFont="1" applyFill="1" applyBorder="1" applyAlignment="1">
      <alignment horizontal="right" wrapText="1"/>
    </xf>
    <xf numFmtId="0" fontId="27" fillId="0" borderId="14" xfId="112" applyFont="1" applyFill="1" applyBorder="1" applyAlignment="1">
      <alignment horizontal="center"/>
      <protection/>
    </xf>
    <xf numFmtId="0" fontId="47" fillId="53" borderId="14" xfId="0" applyFont="1" applyFill="1" applyBorder="1" applyAlignment="1">
      <alignment wrapText="1"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4" fontId="48" fillId="0" borderId="14" xfId="107" applyNumberFormat="1" applyFont="1" applyFill="1" applyBorder="1" applyAlignment="1">
      <alignment horizontal="center"/>
      <protection/>
    </xf>
    <xf numFmtId="0" fontId="49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186" fontId="33" fillId="0" borderId="16" xfId="112" applyNumberFormat="1" applyFont="1" applyFill="1" applyBorder="1" applyAlignment="1">
      <alignment horizontal="center"/>
      <protection/>
    </xf>
    <xf numFmtId="186" fontId="33" fillId="0" borderId="20" xfId="112" applyNumberFormat="1" applyFont="1" applyFill="1" applyBorder="1" applyAlignment="1">
      <alignment horizontal="center"/>
      <protection/>
    </xf>
    <xf numFmtId="186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58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16384" width="9.33203125" style="2" customWidth="1"/>
  </cols>
  <sheetData>
    <row r="1" spans="4:7" ht="74.25" customHeight="1" hidden="1">
      <c r="D1" s="100" t="s">
        <v>14</v>
      </c>
      <c r="E1" s="101"/>
      <c r="F1" s="24"/>
      <c r="G1" s="24"/>
    </row>
    <row r="2" spans="3:7" ht="39.75" customHeight="1">
      <c r="C2" s="80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2" t="s">
        <v>3</v>
      </c>
      <c r="B7" s="13"/>
      <c r="C7" s="102" t="s">
        <v>0</v>
      </c>
      <c r="D7" s="93" t="s">
        <v>1</v>
      </c>
      <c r="E7" s="93" t="s">
        <v>19</v>
      </c>
      <c r="F7" s="93" t="s">
        <v>113</v>
      </c>
      <c r="G7" s="14" t="s">
        <v>114</v>
      </c>
      <c r="H7" s="105" t="s">
        <v>122</v>
      </c>
      <c r="I7" s="82" t="s">
        <v>2</v>
      </c>
      <c r="J7" s="84" t="s">
        <v>119</v>
      </c>
    </row>
    <row r="8" spans="1:25" ht="39.75" customHeight="1">
      <c r="A8" s="102"/>
      <c r="B8" s="1" t="s">
        <v>20</v>
      </c>
      <c r="C8" s="102"/>
      <c r="D8" s="93"/>
      <c r="E8" s="93"/>
      <c r="F8" s="93"/>
      <c r="G8" s="53" t="s">
        <v>115</v>
      </c>
      <c r="H8" s="106"/>
      <c r="I8" s="83"/>
      <c r="J8" s="85"/>
      <c r="L8" s="88" t="s">
        <v>120</v>
      </c>
      <c r="M8" s="82" t="s">
        <v>26</v>
      </c>
      <c r="N8" s="84" t="s">
        <v>27</v>
      </c>
      <c r="O8" s="82" t="s">
        <v>28</v>
      </c>
      <c r="P8" s="82" t="s">
        <v>29</v>
      </c>
      <c r="Q8" s="82" t="s">
        <v>30</v>
      </c>
      <c r="R8" s="82" t="s">
        <v>31</v>
      </c>
      <c r="S8" s="82" t="s">
        <v>32</v>
      </c>
      <c r="T8" s="82" t="s">
        <v>33</v>
      </c>
      <c r="U8" s="82" t="s">
        <v>34</v>
      </c>
      <c r="V8" s="82" t="s">
        <v>35</v>
      </c>
      <c r="W8" s="82" t="s">
        <v>36</v>
      </c>
      <c r="X8" s="82" t="s">
        <v>37</v>
      </c>
      <c r="Y8" s="82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89"/>
      <c r="M9" s="83"/>
      <c r="N9" s="85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15" customFormat="1" ht="19.5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18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42514569.47</v>
      </c>
      <c r="I11" s="38">
        <f aca="true" t="shared" si="0" ref="I11:I18">H11/D11*100</f>
        <v>39.34923538134974</v>
      </c>
      <c r="J11" s="38">
        <f>(H11/(M11+N11+O11+P11+Q11+R11))*100</f>
        <v>157.3020694755499</v>
      </c>
      <c r="K11" s="41"/>
      <c r="L11" s="50">
        <f>M11+N11+O11+P11+Q11+R11-H12</f>
        <v>1922736.9499999993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4857000.79</v>
      </c>
      <c r="T11" s="47">
        <f t="shared" si="1"/>
        <v>6350821.15</v>
      </c>
      <c r="U11" s="47">
        <f t="shared" si="1"/>
        <v>6251085.15</v>
      </c>
      <c r="V11" s="47">
        <f t="shared" si="1"/>
        <v>6547154.15</v>
      </c>
      <c r="W11" s="47">
        <f t="shared" si="1"/>
        <v>7860954.15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25104605.8</v>
      </c>
      <c r="I12" s="17">
        <f t="shared" si="0"/>
        <v>38.20364723296692</v>
      </c>
      <c r="J12" s="94">
        <f>((H13+H16+H17+H18)/(M12+N12+O12+P12+Q12+R12))*100</f>
        <v>96.44873027939246</v>
      </c>
      <c r="L12" s="46">
        <f>(M12+N12+O12+P12+Q12+R12)-(H13+H16+H17+H18)</f>
        <v>423686.19999999925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</f>
        <v>1905980.64</v>
      </c>
      <c r="T12" s="45">
        <f>942800+2750000+240000-23000</f>
        <v>3909800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</f>
        <v>7574163</v>
      </c>
      <c r="I13" s="17">
        <f t="shared" si="0"/>
        <v>41.16392934782609</v>
      </c>
      <c r="J13" s="9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</f>
        <v>1709438.83</v>
      </c>
      <c r="I16" s="17">
        <f t="shared" si="0"/>
        <v>28.520117955220396</v>
      </c>
      <c r="J16" s="9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9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9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90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6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13597736.64</v>
      </c>
      <c r="I21" s="33">
        <f>H21/D21*100</f>
        <v>36.446894800837384</v>
      </c>
      <c r="J21" s="97">
        <f>(H21/(M21+N21+O21+P21+Q21+R21))*100</f>
        <v>90.07039901089844</v>
      </c>
      <c r="L21" s="51">
        <f>(M21+N21+O21+P21+Q21+R21)-H21</f>
        <v>1499050.75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</f>
        <v>2951020.1500000004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</f>
        <v>5424354.15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</f>
        <v>5169944.35</v>
      </c>
      <c r="I22" s="21">
        <f aca="true" t="shared" si="5" ref="I22:I28">H22/D22*100</f>
        <v>41.416485901520225</v>
      </c>
      <c r="J22" s="98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8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8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6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</f>
        <v>356725.82999999996</v>
      </c>
      <c r="I25" s="21">
        <f t="shared" si="5"/>
        <v>26.015412231652984</v>
      </c>
      <c r="J25" s="9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8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54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</f>
        <v>8071066.46</v>
      </c>
      <c r="I28" s="21">
        <f t="shared" si="5"/>
        <v>55.63349184563926</v>
      </c>
      <c r="J28" s="9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17409963.669999998</v>
      </c>
      <c r="I29" s="55">
        <f>H29/D29*100</f>
        <v>41.127564841038456</v>
      </c>
      <c r="J29" s="81">
        <f>(H29/(M29+N29+O29+P29+Q29+R29))*100</f>
        <v>99.1971095121281</v>
      </c>
      <c r="L29" s="51">
        <f>(M29+N29+O29+P29+Q29+R29)-H29</f>
        <v>140914.33000000194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3">Y29-D29</f>
        <v>0</v>
      </c>
    </row>
    <row r="30" spans="1:26" ht="18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</f>
        <v>26000</v>
      </c>
      <c r="I30" s="17">
        <f aca="true" t="shared" si="10" ref="I30:I96">H30/D30*100</f>
        <v>17.333333333333336</v>
      </c>
      <c r="J30" s="52">
        <f>(H30/(M30+N30+O30+P30+Q30+R30))*100</f>
        <v>49.056603773584904</v>
      </c>
      <c r="L30" s="46">
        <f>(M30+N30+O30+P30+Q30+R30)-H30</f>
        <v>27000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95">(H31/(M31+N31+O31+P31+Q31+R31))*100</f>
        <v>100</v>
      </c>
      <c r="L31" s="46">
        <f aca="true" t="shared" si="12" ref="L31:L95">(M31+N31+O31+P31+Q31+R31)-H31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18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100</v>
      </c>
      <c r="L32" s="46">
        <f t="shared" si="12"/>
        <v>0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18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 t="e">
        <f t="shared" si="11"/>
        <v>#DIV/0!</v>
      </c>
      <c r="L33" s="46">
        <f t="shared" si="12"/>
        <v>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18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100</v>
      </c>
      <c r="L34" s="46">
        <f t="shared" si="12"/>
        <v>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18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</f>
        <v>700000</v>
      </c>
      <c r="I35" s="17">
        <f t="shared" si="10"/>
        <v>78.82882882882883</v>
      </c>
      <c r="J35" s="52">
        <f t="shared" si="11"/>
        <v>100</v>
      </c>
      <c r="L35" s="46">
        <f t="shared" si="12"/>
        <v>0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6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18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904.5999999999767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6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</f>
        <v>166000</v>
      </c>
      <c r="T38" s="70"/>
      <c r="U38" s="71"/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v>11000</v>
      </c>
      <c r="I39" s="39">
        <f t="shared" si="10"/>
        <v>5.5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/>
      <c r="T39" s="70"/>
      <c r="U39" s="71">
        <f>85000+104000</f>
        <v>189000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</f>
        <v>28000</v>
      </c>
      <c r="I40" s="17">
        <f t="shared" si="10"/>
        <v>14.000000000000002</v>
      </c>
      <c r="J40" s="52">
        <f t="shared" si="11"/>
        <v>58.333333333333336</v>
      </c>
      <c r="L40" s="46">
        <f t="shared" si="12"/>
        <v>20000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/>
      <c r="T40" s="70"/>
      <c r="U40" s="71">
        <f>85000+67000</f>
        <v>152000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18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v>15000</v>
      </c>
      <c r="I42" s="39">
        <f t="shared" si="10"/>
        <v>7.5</v>
      </c>
      <c r="J42" s="52">
        <f t="shared" si="11"/>
        <v>38.46153846153847</v>
      </c>
      <c r="L42" s="46">
        <f t="shared" si="12"/>
        <v>24000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v>76000</v>
      </c>
      <c r="T42" s="70"/>
      <c r="U42" s="71">
        <v>85000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18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100</v>
      </c>
      <c r="L43" s="46">
        <f t="shared" si="12"/>
        <v>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5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18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5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 t="e">
        <f t="shared" si="11"/>
        <v>#DIV/0!</v>
      </c>
      <c r="L46" s="46">
        <f t="shared" si="12"/>
        <v>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</f>
        <v>145000</v>
      </c>
      <c r="T46" s="70"/>
      <c r="U46" s="71"/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18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18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7"/>
      <c r="V48" s="77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 t="e">
        <f t="shared" si="11"/>
        <v>#DIV/0!</v>
      </c>
      <c r="L49" s="46">
        <f t="shared" si="12"/>
        <v>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18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100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6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18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18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</f>
        <v>17000</v>
      </c>
      <c r="I53" s="17">
        <f t="shared" si="10"/>
        <v>6.800000000000001</v>
      </c>
      <c r="J53" s="52">
        <f t="shared" si="11"/>
        <v>100</v>
      </c>
      <c r="L53" s="46">
        <f t="shared" si="12"/>
        <v>0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</f>
        <v>663625.68</v>
      </c>
      <c r="I54" s="17">
        <f t="shared" si="10"/>
        <v>73.27568966583338</v>
      </c>
      <c r="J54" s="52">
        <f t="shared" si="11"/>
        <v>99.99543136805816</v>
      </c>
      <c r="L54" s="46">
        <f t="shared" si="12"/>
        <v>30.319999999948777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6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6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100</v>
      </c>
      <c r="L59" s="46">
        <f t="shared" si="12"/>
        <v>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99.99807331956444</v>
      </c>
      <c r="L61" s="46">
        <f t="shared" si="12"/>
        <v>75.71999999973923</v>
      </c>
      <c r="M61" s="13"/>
      <c r="N61" s="13"/>
      <c r="O61" s="70"/>
      <c r="P61" s="77">
        <f>3930000-1414490.15-46100-239000-570000+56675.72</f>
        <v>1717085.57</v>
      </c>
      <c r="Q61" s="77">
        <f>1414490.15+24000-274500</f>
        <v>1163990.15</v>
      </c>
      <c r="R61" s="77">
        <f>38000+1011000</f>
        <v>1049000</v>
      </c>
      <c r="S61" s="77">
        <f>3949000+46100+155000+395000+274500+43324.28-1011000-2450670</f>
        <v>1401254.2800000003</v>
      </c>
      <c r="T61" s="77">
        <f>22000+476741</f>
        <v>498741</v>
      </c>
      <c r="U61" s="77">
        <v>1973929</v>
      </c>
      <c r="V61" s="77">
        <v>175000</v>
      </c>
      <c r="W61" s="77"/>
      <c r="X61" s="71"/>
      <c r="Y61" s="46">
        <f t="shared" si="2"/>
        <v>7979000</v>
      </c>
      <c r="Z61" s="49">
        <f t="shared" si="9"/>
        <v>0</v>
      </c>
    </row>
    <row r="62" spans="1:26" ht="18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</f>
        <v>130000</v>
      </c>
      <c r="I62" s="79">
        <f t="shared" si="10"/>
        <v>1.7277954035060157</v>
      </c>
      <c r="J62" s="52">
        <f t="shared" si="11"/>
        <v>99.99647704719325</v>
      </c>
      <c r="L62" s="46">
        <f t="shared" si="12"/>
        <v>4.580000000001746</v>
      </c>
      <c r="M62" s="13"/>
      <c r="N62" s="13"/>
      <c r="O62" s="70"/>
      <c r="P62" s="77">
        <f>50000+80000+450000-450000</f>
        <v>130000</v>
      </c>
      <c r="Q62" s="77">
        <f>359000-359000</f>
        <v>0</v>
      </c>
      <c r="R62" s="77">
        <f>81004.58-81000</f>
        <v>4.580000000001746</v>
      </c>
      <c r="S62" s="77">
        <f>3500000-80000+350000+890000</f>
        <v>4660000</v>
      </c>
      <c r="T62" s="77">
        <f>341800</f>
        <v>341800</v>
      </c>
      <c r="U62" s="77">
        <f>99200</f>
        <v>99200</v>
      </c>
      <c r="V62" s="77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 t="e">
        <f t="shared" si="11"/>
        <v>#DIV/0!</v>
      </c>
      <c r="L65" s="46">
        <f t="shared" si="12"/>
        <v>0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100</v>
      </c>
      <c r="L66" s="46">
        <f t="shared" si="12"/>
        <v>0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100</v>
      </c>
      <c r="L67" s="46">
        <f t="shared" si="12"/>
        <v>0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100</v>
      </c>
      <c r="L68" s="46">
        <f t="shared" si="12"/>
        <v>0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18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</f>
        <v>286000</v>
      </c>
      <c r="I71" s="17">
        <f t="shared" si="10"/>
        <v>48.52730077222716</v>
      </c>
      <c r="J71" s="52">
        <f t="shared" si="11"/>
        <v>99.87464335410901</v>
      </c>
      <c r="L71" s="46">
        <f t="shared" si="12"/>
        <v>358.96999999997206</v>
      </c>
      <c r="M71" s="13"/>
      <c r="N71" s="13"/>
      <c r="O71" s="77">
        <f>286000-286000</f>
        <v>0</v>
      </c>
      <c r="P71" s="77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6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7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6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7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9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5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">
      <c r="A78" s="26"/>
      <c r="B78" s="27"/>
      <c r="C78" s="56" t="s">
        <v>121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5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18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5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">
      <c r="A80" s="90" t="s">
        <v>89</v>
      </c>
      <c r="B80" s="91"/>
      <c r="C80" s="91"/>
      <c r="D80" s="91"/>
      <c r="E80" s="91"/>
      <c r="F80" s="91"/>
      <c r="G80" s="92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18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43312606.089999996</v>
      </c>
      <c r="I81" s="8">
        <f t="shared" si="10"/>
        <v>33.41592262283103</v>
      </c>
      <c r="J81" s="8">
        <f t="shared" si="11"/>
        <v>86.47714055458715</v>
      </c>
      <c r="L81" s="51">
        <f t="shared" si="12"/>
        <v>6773007.07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/>
      <c r="I82" s="39">
        <f t="shared" si="10"/>
        <v>0</v>
      </c>
      <c r="J82" s="52">
        <f t="shared" si="11"/>
        <v>0</v>
      </c>
      <c r="L82" s="46">
        <f t="shared" si="12"/>
        <v>800000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18">
      <c r="A83" s="63"/>
      <c r="B83" s="18"/>
      <c r="C83" s="76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/>
      <c r="I83" s="39"/>
      <c r="J83" s="52" t="e">
        <f t="shared" si="11"/>
        <v>#DIV/0!</v>
      </c>
      <c r="L83" s="46">
        <f t="shared" si="12"/>
        <v>0</v>
      </c>
      <c r="M83" s="67"/>
      <c r="N83" s="67"/>
      <c r="O83" s="67"/>
      <c r="P83" s="67"/>
      <c r="Q83" s="67"/>
      <c r="R83" s="67"/>
      <c r="S83" s="67"/>
      <c r="T83" s="67"/>
      <c r="U83" s="67"/>
      <c r="V83" s="78">
        <v>1000000</v>
      </c>
      <c r="W83" s="78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</f>
        <v>21544283.369999997</v>
      </c>
      <c r="I84" s="17">
        <f t="shared" si="10"/>
        <v>97.92856077272725</v>
      </c>
      <c r="J84" s="52">
        <f t="shared" si="11"/>
        <v>98.37572315068492</v>
      </c>
      <c r="L84" s="46">
        <f t="shared" si="12"/>
        <v>355716.6300000027</v>
      </c>
      <c r="M84" s="67"/>
      <c r="N84" s="67"/>
      <c r="O84" s="67"/>
      <c r="P84" s="78">
        <f>3437500+4100000</f>
        <v>7537500</v>
      </c>
      <c r="Q84" s="78">
        <f>3437500-2000000+4513387.6</f>
        <v>5950887.6</v>
      </c>
      <c r="R84" s="78">
        <f>90000+5000000+800000+2521612.4</f>
        <v>8411612.4</v>
      </c>
      <c r="S84" s="78">
        <f>5000000-800000-4100000</f>
        <v>100000</v>
      </c>
      <c r="T84" s="78">
        <f>5000000-5000000</f>
        <v>0</v>
      </c>
      <c r="U84" s="78">
        <f>35000-35000</f>
        <v>0</v>
      </c>
      <c r="V84" s="78"/>
      <c r="W84" s="78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/>
      <c r="I85" s="39">
        <f t="shared" si="10"/>
        <v>0</v>
      </c>
      <c r="J85" s="52">
        <f t="shared" si="11"/>
        <v>0</v>
      </c>
      <c r="L85" s="46">
        <f t="shared" si="12"/>
        <v>1070000</v>
      </c>
      <c r="M85" s="67"/>
      <c r="N85" s="67"/>
      <c r="O85" s="67"/>
      <c r="P85" s="78">
        <v>650000</v>
      </c>
      <c r="Q85" s="78">
        <v>130000</v>
      </c>
      <c r="R85" s="78">
        <f>260000+30000</f>
        <v>290000</v>
      </c>
      <c r="S85" s="78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1"/>
        <v>0</v>
      </c>
      <c r="L86" s="46">
        <f t="shared" si="12"/>
        <v>400000</v>
      </c>
      <c r="M86" s="67"/>
      <c r="N86" s="67"/>
      <c r="O86" s="67"/>
      <c r="P86" s="67"/>
      <c r="Q86" s="67"/>
      <c r="R86" s="78">
        <f>600000+600000-800000</f>
        <v>400000</v>
      </c>
      <c r="S86" s="78">
        <f>6000000+800000</f>
        <v>6800000</v>
      </c>
      <c r="T86" s="78">
        <f>6000000</f>
        <v>6000000</v>
      </c>
      <c r="U86" s="78">
        <f>2400000</f>
        <v>2400000</v>
      </c>
      <c r="V86" s="67"/>
      <c r="W86" s="67"/>
      <c r="X86" s="67"/>
      <c r="Y86" s="46">
        <f t="shared" si="13"/>
        <v>15600000</v>
      </c>
      <c r="Z86" s="49">
        <f t="shared" si="9"/>
        <v>0</v>
      </c>
    </row>
    <row r="87" spans="1:26" ht="18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1"/>
        <v>0</v>
      </c>
      <c r="L87" s="46">
        <f t="shared" si="12"/>
        <v>390000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</f>
        <v>5291</v>
      </c>
      <c r="I88" s="17">
        <f t="shared" si="10"/>
        <v>1.7636666666666665</v>
      </c>
      <c r="J88" s="52">
        <f t="shared" si="11"/>
        <v>52.910000000000004</v>
      </c>
      <c r="L88" s="46">
        <f t="shared" si="12"/>
        <v>4709</v>
      </c>
      <c r="M88" s="67"/>
      <c r="N88" s="67"/>
      <c r="O88" s="67"/>
      <c r="P88" s="67"/>
      <c r="Q88" s="67"/>
      <c r="R88" s="67">
        <f>10000</f>
        <v>10000</v>
      </c>
      <c r="S88" s="67"/>
      <c r="T88" s="67"/>
      <c r="U88" s="67">
        <f>200000-10000</f>
        <v>190000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18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1"/>
        <v>98.16172661634394</v>
      </c>
      <c r="L89" s="46">
        <f t="shared" si="12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18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52" t="e">
        <f t="shared" si="11"/>
        <v>#DIV/0!</v>
      </c>
      <c r="L90" s="46">
        <f t="shared" si="12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</f>
        <v>10000000</v>
      </c>
      <c r="I91" s="17">
        <f t="shared" si="10"/>
        <v>34.939376513115214</v>
      </c>
      <c r="J91" s="52">
        <f t="shared" si="11"/>
        <v>100</v>
      </c>
      <c r="L91" s="46">
        <f t="shared" si="12"/>
        <v>0</v>
      </c>
      <c r="M91" s="67"/>
      <c r="N91" s="67"/>
      <c r="O91" s="77">
        <v>4200000</v>
      </c>
      <c r="P91" s="77">
        <f>8000000-2200000</f>
        <v>5800000</v>
      </c>
      <c r="Q91" s="77">
        <f>7100000-5000000-2100000</f>
        <v>0</v>
      </c>
      <c r="R91" s="77">
        <f>5100000-4000000-1100000</f>
        <v>0</v>
      </c>
      <c r="S91" s="77">
        <f>5200000-5000000+400000</f>
        <v>600000</v>
      </c>
      <c r="T91" s="77">
        <f>5080000-5000000+5000000</f>
        <v>5080000</v>
      </c>
      <c r="U91" s="77">
        <v>5130000</v>
      </c>
      <c r="V91" s="77"/>
      <c r="W91" s="77">
        <f>5000000-3668958.4</f>
        <v>1331041.6</v>
      </c>
      <c r="X91" s="77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52" t="e">
        <f t="shared" si="11"/>
        <v>#DIV/0!</v>
      </c>
      <c r="L92" s="46">
        <f t="shared" si="12"/>
        <v>0</v>
      </c>
      <c r="M92" s="67"/>
      <c r="N92" s="67"/>
      <c r="O92" s="67"/>
      <c r="P92" s="67"/>
      <c r="Q92" s="67"/>
      <c r="R92" s="67"/>
      <c r="S92" s="67"/>
      <c r="T92" s="67"/>
      <c r="U92" s="77">
        <v>400000</v>
      </c>
      <c r="V92" s="77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 t="e">
        <f t="shared" si="11"/>
        <v>#DIV/0!</v>
      </c>
      <c r="L93" s="46">
        <f t="shared" si="12"/>
        <v>0</v>
      </c>
      <c r="M93" s="67"/>
      <c r="N93" s="67"/>
      <c r="O93" s="67"/>
      <c r="P93" s="67"/>
      <c r="Q93" s="67">
        <f>150000-150000</f>
        <v>0</v>
      </c>
      <c r="R93" s="67"/>
      <c r="S93" s="67">
        <f>109050</f>
        <v>109050</v>
      </c>
      <c r="T93" s="67"/>
      <c r="U93" s="67">
        <f>35000</f>
        <v>35000</v>
      </c>
      <c r="V93" s="67"/>
      <c r="W93" s="67">
        <f>5950</f>
        <v>5950</v>
      </c>
      <c r="X93" s="67"/>
      <c r="Y93" s="46">
        <f t="shared" si="13"/>
        <v>150000</v>
      </c>
      <c r="Z93" s="49">
        <f t="shared" si="9"/>
        <v>0</v>
      </c>
    </row>
    <row r="94" spans="1:26" ht="18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t="shared" si="10"/>
        <v>0</v>
      </c>
      <c r="J94" s="52" t="e">
        <f t="shared" si="11"/>
        <v>#DIV/0!</v>
      </c>
      <c r="L94" s="46">
        <f t="shared" si="12"/>
        <v>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aca="true" t="shared" si="17" ref="Z94:Z107">Y94-D94</f>
        <v>0</v>
      </c>
    </row>
    <row r="95" spans="1:26" ht="18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10"/>
        <v>49.32814285714285</v>
      </c>
      <c r="J95" s="52">
        <f t="shared" si="11"/>
        <v>85.77475547275267</v>
      </c>
      <c r="L95" s="46">
        <f t="shared" si="12"/>
        <v>45812.40000000002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7"/>
        <v>0</v>
      </c>
    </row>
    <row r="96" spans="1:26" ht="18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10"/>
        <v>0</v>
      </c>
      <c r="J96" s="52">
        <f aca="true" t="shared" si="18" ref="J96:J108">(H96/(M96+N96+O96+P96+Q96+R96))*100</f>
        <v>0</v>
      </c>
      <c r="L96" s="46">
        <f aca="true" t="shared" si="19" ref="L96:L108">(M96+N96+O96+P96+Q96+R96)-H96</f>
        <v>200000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7"/>
        <v>0</v>
      </c>
    </row>
    <row r="97" spans="1:26" ht="18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aca="true" t="shared" si="20" ref="I97:I108">H97/D97*100</f>
        <v>62.544774999999994</v>
      </c>
      <c r="J97" s="52">
        <f t="shared" si="18"/>
        <v>99.08083168316831</v>
      </c>
      <c r="L97" s="46">
        <f t="shared" si="19"/>
        <v>46418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</f>
        <v>1950000</v>
      </c>
      <c r="T97" s="67"/>
      <c r="U97" s="67"/>
      <c r="V97" s="67">
        <v>1000000</v>
      </c>
      <c r="W97" s="67"/>
      <c r="X97" s="67"/>
      <c r="Y97" s="46">
        <f t="shared" si="13"/>
        <v>8000000</v>
      </c>
      <c r="Z97" s="49">
        <f t="shared" si="17"/>
        <v>0</v>
      </c>
    </row>
    <row r="98" spans="1:26" ht="36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9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7"/>
        <v>0</v>
      </c>
    </row>
    <row r="99" spans="1:26" ht="18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9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7"/>
        <v>0</v>
      </c>
    </row>
    <row r="100" spans="1:26" ht="18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9"/>
        <v>586885.2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7"/>
        <v>0</v>
      </c>
    </row>
    <row r="101" spans="1:26" ht="18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9"/>
        <v>585000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7"/>
        <v>0</v>
      </c>
    </row>
    <row r="102" spans="1:26" ht="36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31.25817786114533</v>
      </c>
      <c r="L102" s="46">
        <f t="shared" si="19"/>
        <v>1314463.8</v>
      </c>
      <c r="M102" s="67"/>
      <c r="N102" s="67"/>
      <c r="O102" s="67"/>
      <c r="P102" s="67">
        <v>1186087</v>
      </c>
      <c r="Q102" s="67">
        <v>429100</v>
      </c>
      <c r="R102" s="67">
        <f>796987.8-500000</f>
        <v>296987.80000000005</v>
      </c>
      <c r="S102" s="67">
        <v>37825.2</v>
      </c>
      <c r="T102" s="67"/>
      <c r="U102" s="67"/>
      <c r="V102" s="67"/>
      <c r="W102" s="67"/>
      <c r="X102" s="67">
        <v>500000</v>
      </c>
      <c r="Y102" s="46">
        <f t="shared" si="13"/>
        <v>2450000</v>
      </c>
      <c r="Z102" s="49">
        <f t="shared" si="17"/>
        <v>0</v>
      </c>
    </row>
    <row r="103" spans="1:26" ht="36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</f>
        <v>1686953.3800000001</v>
      </c>
      <c r="I103" s="17">
        <f t="shared" si="20"/>
        <v>17.15429509863738</v>
      </c>
      <c r="J103" s="52">
        <f t="shared" si="18"/>
        <v>99.23255176470589</v>
      </c>
      <c r="L103" s="46">
        <f t="shared" si="19"/>
        <v>13046.619999999879</v>
      </c>
      <c r="M103" s="67"/>
      <c r="N103" s="67"/>
      <c r="O103" s="67"/>
      <c r="P103" s="67">
        <f>2400000-1000000</f>
        <v>1400000</v>
      </c>
      <c r="Q103" s="67">
        <f>1000000-800000+100000</f>
        <v>300000</v>
      </c>
      <c r="R103" s="67"/>
      <c r="S103" s="67"/>
      <c r="T103" s="67">
        <v>3000000</v>
      </c>
      <c r="U103" s="67"/>
      <c r="V103" s="67">
        <f>1434000+1000000-100000</f>
        <v>2334000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7"/>
        <v>0</v>
      </c>
    </row>
    <row r="104" spans="1:26" ht="36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97.78750000000001</v>
      </c>
      <c r="L104" s="46">
        <f t="shared" si="19"/>
        <v>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7"/>
        <v>0</v>
      </c>
    </row>
    <row r="105" spans="1:26" ht="36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99.68489636363635</v>
      </c>
      <c r="L105" s="46">
        <f t="shared" si="19"/>
        <v>1733.0700000000652</v>
      </c>
      <c r="M105" s="67"/>
      <c r="N105" s="67"/>
      <c r="O105" s="67"/>
      <c r="P105" s="77">
        <f>2000000-1000000-450000</f>
        <v>550000</v>
      </c>
      <c r="Q105" s="77">
        <f>1900000-1500000-400000</f>
        <v>0</v>
      </c>
      <c r="R105" s="77"/>
      <c r="S105" s="77">
        <f>850000</f>
        <v>850000</v>
      </c>
      <c r="T105" s="77"/>
      <c r="U105" s="77"/>
      <c r="V105" s="77">
        <f>1000000-1000000</f>
        <v>0</v>
      </c>
      <c r="W105" s="77">
        <f>1133744+1500000-2000000</f>
        <v>633744</v>
      </c>
      <c r="X105" s="77">
        <v>1000000</v>
      </c>
      <c r="Y105" s="46">
        <f t="shared" si="13"/>
        <v>3033744</v>
      </c>
      <c r="Z105" s="49">
        <f t="shared" si="17"/>
        <v>0</v>
      </c>
    </row>
    <row r="106" spans="1:26" ht="36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9"/>
        <v>100000</v>
      </c>
      <c r="M106" s="67"/>
      <c r="N106" s="67"/>
      <c r="O106" s="67"/>
      <c r="P106" s="77">
        <v>70000</v>
      </c>
      <c r="Q106" s="77">
        <v>30000</v>
      </c>
      <c r="R106" s="77"/>
      <c r="S106" s="77">
        <f>100000</f>
        <v>100000</v>
      </c>
      <c r="T106" s="77">
        <f>600000</f>
        <v>600000</v>
      </c>
      <c r="U106" s="77">
        <f>600000</f>
        <v>600000</v>
      </c>
      <c r="V106" s="77">
        <f>4000000</f>
        <v>4000000</v>
      </c>
      <c r="W106" s="77">
        <f>4300000</f>
        <v>4300000</v>
      </c>
      <c r="X106" s="77">
        <v>400000</v>
      </c>
      <c r="Y106" s="46">
        <f t="shared" si="13"/>
        <v>10100000</v>
      </c>
      <c r="Z106" s="49">
        <f t="shared" si="17"/>
        <v>0</v>
      </c>
    </row>
    <row r="107" spans="1:26" ht="18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9"/>
        <v>70000</v>
      </c>
      <c r="M107" s="67"/>
      <c r="N107" s="67"/>
      <c r="O107" s="67"/>
      <c r="P107" s="78"/>
      <c r="Q107" s="78"/>
      <c r="R107" s="78">
        <f>900000-800000-30000</f>
        <v>70000</v>
      </c>
      <c r="S107" s="78">
        <f>400000-100000</f>
        <v>300000</v>
      </c>
      <c r="T107" s="78"/>
      <c r="U107" s="78">
        <f>450000-400000</f>
        <v>50000</v>
      </c>
      <c r="V107" s="78">
        <f>120000-100000</f>
        <v>20000</v>
      </c>
      <c r="W107" s="78">
        <v>7975</v>
      </c>
      <c r="X107" s="78">
        <f>800000-740000</f>
        <v>60000</v>
      </c>
      <c r="Y107" s="46">
        <f t="shared" si="13"/>
        <v>507975</v>
      </c>
      <c r="Z107" s="49">
        <f t="shared" si="17"/>
        <v>0</v>
      </c>
    </row>
    <row r="108" spans="1:26" ht="18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85827175.56</v>
      </c>
      <c r="I108" s="8">
        <f t="shared" si="20"/>
        <v>36.11329579441357</v>
      </c>
      <c r="J108" s="8">
        <f t="shared" si="18"/>
        <v>90.66522241387213</v>
      </c>
      <c r="L108" s="51">
        <f t="shared" si="19"/>
        <v>8836658.349999994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28801992.61</v>
      </c>
      <c r="T108" s="51">
        <f t="shared" si="21"/>
        <v>23803086.46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12:J18"/>
    <mergeCell ref="J21:J2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2018-04-10T13:08:35Z</cp:lastPrinted>
  <dcterms:created xsi:type="dcterms:W3CDTF">2014-01-17T10:52:16Z</dcterms:created>
  <dcterms:modified xsi:type="dcterms:W3CDTF">2018-06-27T09:18:29Z</dcterms:modified>
  <cp:category/>
  <cp:version/>
  <cp:contentType/>
  <cp:contentStatus/>
</cp:coreProperties>
</file>